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rnemish/Documents/Marketing/"/>
    </mc:Choice>
  </mc:AlternateContent>
  <xr:revisionPtr revIDLastSave="0" documentId="13_ncr:1_{D05B318C-CBBC-8C4E-95EC-03F9F1532C77}" xr6:coauthVersionLast="47" xr6:coauthVersionMax="47" xr10:uidLastSave="{00000000-0000-0000-0000-000000000000}"/>
  <bookViews>
    <workbookView xWindow="-38360" yWindow="-760" windowWidth="36740" windowHeight="19680" xr2:uid="{1ED814E6-306E-D94F-903B-FEF00667DE27}"/>
  </bookViews>
  <sheets>
    <sheet name="Utilities Private Network" sheetId="4" r:id="rId1"/>
  </sheets>
  <definedNames>
    <definedName name="_xlnm.Print_Area" localSheetId="0">'Utilities Private Network'!$A$1:$C$50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9" i="4" l="1"/>
  <c r="B46" i="4" s="1"/>
  <c r="B49" i="4" s="1"/>
  <c r="B48" i="4"/>
  <c r="B20" i="4"/>
  <c r="B11" i="4"/>
  <c r="B26" i="4"/>
  <c r="B25" i="4"/>
  <c r="B28" i="4"/>
  <c r="B27" i="4"/>
  <c r="B22" i="4"/>
  <c r="B21" i="4"/>
  <c r="B13" i="4" l="1"/>
  <c r="B17" i="4" s="1"/>
  <c r="B29" i="4" l="1"/>
  <c r="B30" i="4" l="1"/>
  <c r="B34" i="4" s="1"/>
  <c r="B42" i="4" s="1"/>
  <c r="B43" i="4" s="1"/>
  <c r="B31" i="4" l="1"/>
  <c r="B36" i="4"/>
  <c r="B35" i="4"/>
  <c r="B33" i="4"/>
  <c r="B32" i="4" l="1"/>
  <c r="B40" i="4"/>
  <c r="B41" i="4" s="1"/>
</calcChain>
</file>

<file path=xl/sharedStrings.xml><?xml version="1.0" encoding="utf-8"?>
<sst xmlns="http://schemas.openxmlformats.org/spreadsheetml/2006/main" count="66" uniqueCount="62">
  <si>
    <t>https://ourworldindata.org/grapher/population-density-by-city?tab=table</t>
  </si>
  <si>
    <t>Gateway site location and planning (min 8 hours, $60/hour)</t>
  </si>
  <si>
    <t xml:space="preserve">Calculated number of Outdoor Gateways to cover a typical city with 2 million people </t>
  </si>
  <si>
    <t xml:space="preserve">TEKTELIC </t>
  </si>
  <si>
    <t xml:space="preserve">Version 0.2 </t>
  </si>
  <si>
    <t>Total LoRaWAN Network Cost over 5 years or Network Total Cost of Ownership (TCO)</t>
  </si>
  <si>
    <t>Total LoRaWAN Network Cost over 10 years or Network Total Cost of Ownership (TCO)</t>
  </si>
  <si>
    <t>Same as above - do not type herein</t>
  </si>
  <si>
    <t>All values herein and below are derived - do not type herein</t>
  </si>
  <si>
    <t>Note: One can modify the values in blue areas (as this one) to see the effect on the network cost</t>
  </si>
  <si>
    <t>Notes</t>
  </si>
  <si>
    <t>Gateway site other equipment  (Antennas, ESD and Lightning Protection, RF Cables, Power Cable)</t>
  </si>
  <si>
    <t xml:space="preserve">Seeking agreements for Gateway installation (min 8 hours, $120/hour)  </t>
  </si>
  <si>
    <t>Gateway installation cost ($2000 is lowest practical if power is available, but could exceed $5K)</t>
  </si>
  <si>
    <t xml:space="preserve">Yearly cost to read each meter over 5 Years </t>
  </si>
  <si>
    <t xml:space="preserve">Yearly cost to read each meter over 10 Years </t>
  </si>
  <si>
    <t>Yearly DC Power Cost (Max 15W Gateway at $0.5 per kW/Hour)</t>
  </si>
  <si>
    <r>
      <rPr>
        <b/>
        <sz val="12"/>
        <color theme="1"/>
        <rFont val="Calibri"/>
        <family val="2"/>
        <scheme val="minor"/>
      </rPr>
      <t>Ongoing Yearly</t>
    </r>
    <r>
      <rPr>
        <sz val="12"/>
        <color theme="1"/>
        <rFont val="Calibri"/>
        <family val="2"/>
        <scheme val="minor"/>
      </rPr>
      <t xml:space="preserve"> Operating and Maintenance Cost (Carrier Gateways, no replacement or often site visits)</t>
    </r>
  </si>
  <si>
    <t>Yearly Outdoor Gateway and Antenna rental cost to the building or tower owner ($450 per month)</t>
  </si>
  <si>
    <t>Yearly Maintenance &amp; Support cost (8% Gateway price and 1 hour of technical support per month at $60)</t>
  </si>
  <si>
    <t>Gateways Cost as percentage of the Total Cost of Ownership (TCO) over 5 years</t>
  </si>
  <si>
    <t>Gateways Cost as percentage of the Total Cost of Ownership (TCO) over 10 years</t>
  </si>
  <si>
    <t xml:space="preserve">   Monthly cost to read each meter over 5 Years</t>
  </si>
  <si>
    <t xml:space="preserve">   Monthly cost to read each meter over 10 Years</t>
  </si>
  <si>
    <t>Downtown Outdoor Gateway Mean Radius (typically 0.5km to 0.9km)</t>
  </si>
  <si>
    <t>Suburban Outdoor Gateway Mean Radius (typically 1km to 2.5km)</t>
  </si>
  <si>
    <t>Typical planned Gateways coverage overlap for Suburban and Downtown areas</t>
  </si>
  <si>
    <t xml:space="preserve">Enter typical NA city population </t>
  </si>
  <si>
    <t xml:space="preserve">Citywide LoRaWAN Network </t>
  </si>
  <si>
    <t>Typical Values</t>
  </si>
  <si>
    <t xml:space="preserve">Calgary downtown core is only 6 km. sq, but one needs to add dense urban areas </t>
  </si>
  <si>
    <t>Typical NA Carrier Grade Outdoor Gateway Cost with min 10 years of MTBF</t>
  </si>
  <si>
    <t>For refence, City of Calgary has 1.36 mil people and 825 km.sq, Denver 711 thousand people and 400 km.sq</t>
  </si>
  <si>
    <t>Typical</t>
  </si>
  <si>
    <t xml:space="preserve">Typical </t>
  </si>
  <si>
    <t xml:space="preserve">Experimental and from RF planning </t>
  </si>
  <si>
    <t xml:space="preserve">Number of Gateways sites to cover typical city with population density of 1600 person per km.sq. Agrees with RF planning models of ~180 Gateways </t>
  </si>
  <si>
    <t>Approximately comes to one full time manager per year</t>
  </si>
  <si>
    <t>Average  cost paid to tower or building owners for leasing space for Gateway and one RF antenna (many charge per antenna).</t>
  </si>
  <si>
    <t>Typica city area in km. sq. (based on typical city population density of 1600 person per km.sq.)</t>
  </si>
  <si>
    <r>
      <rPr>
        <b/>
        <sz val="12"/>
        <color theme="1"/>
        <rFont val="Calibri"/>
        <family val="2"/>
        <scheme val="minor"/>
      </rPr>
      <t>Year One</t>
    </r>
    <r>
      <rPr>
        <sz val="12"/>
        <color theme="1"/>
        <rFont val="Calibri"/>
        <family val="2"/>
        <scheme val="minor"/>
      </rPr>
      <t xml:space="preserve"> Gateway Installation, Deployment &amp; Operating Cost</t>
    </r>
  </si>
  <si>
    <t xml:space="preserve">Business model 1: Utility company owns and operates its LoRaWAN network </t>
  </si>
  <si>
    <t>Number of meters  deployed in the city</t>
  </si>
  <si>
    <t>Downtown and urban area with high density tall buildings require more Gateways</t>
  </si>
  <si>
    <t>LoRa Gateways have RF Lighting Protection built-in</t>
  </si>
  <si>
    <t>Typical cost when performing planning for a larger city or more sire. For smaller number of sites it could be much higher.</t>
  </si>
  <si>
    <t>Yearly Cellular 4G Backhaul Cost ($20 per month)</t>
  </si>
  <si>
    <t>Yearly LoRaWAN Network Cost when Amortized over 5 years</t>
  </si>
  <si>
    <t>Yearly LoRaWAN Network Cost when Amortized over 10 years</t>
  </si>
  <si>
    <t xml:space="preserve">Business model 2: Utility company purchases connectivity from local Cellular or LPWAN operators </t>
  </si>
  <si>
    <t xml:space="preserve">Effective monthly connectivity cost per meter </t>
  </si>
  <si>
    <t>Typical Outdoor LoRaWAN Gateway Cost</t>
  </si>
  <si>
    <t>This Total Network Cost calculation is made available for LoRaWAN network operators to compare the cost of deploying and running their network verus procuring the connectivity services from cellular or other IoT providers.</t>
  </si>
  <si>
    <t>Downtown and Urban area in km. sq.</t>
  </si>
  <si>
    <t>Compared with cellular operator $6,022,222 cost as per line 49</t>
  </si>
  <si>
    <t>Common price during 2022-23</t>
  </si>
  <si>
    <t>Approximately 3 people per household in Calgary,  with 490K total meters.</t>
  </si>
  <si>
    <t xml:space="preserve">As Gateways cost adding to 3.3% of the Total Network Cost over 5 years, operators should procure the Gateways that are highly reliable, guarantee the best Radio coverage and performance as these parameters dictate the network cost. </t>
  </si>
  <si>
    <t xml:space="preserve">As Gateways cost adding to 1.8% of the Total Network Cost over 10 years, operators should procure the Gateways that are highly reliable, guarantee the best Radio coverage and performance as these parameters dictate the network cost. </t>
  </si>
  <si>
    <t xml:space="preserve">Typical yearly connectivity cost per meter </t>
  </si>
  <si>
    <t>Carrier Grade Gateway meet 0.99999 Availability, Excellent RF Performance, 5%-100% Condense Humidity, IP-67, -40C to +65C Temperature, Remote Monitoring, Updates and Upgrades, Lowest Operating Cost, Min 10 Year Operation.</t>
  </si>
  <si>
    <t xml:space="preserve">Yearly cellular operator connectivity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</si>
</sst>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0.0%"/>
    <numFmt numFmtId="167" formatCode="_(&quot;$&quot;* #,##0.0_);_(&quot;$&quot;* \(#,##0.0\);_(&quot;$&quot;* &quot;-&quot;??_);_(@_)"/>
  </numFmts>
  <fonts count="1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2"/>
      <color rgb="FF7030A0"/>
      <name val="Calibri"/>
      <family val="2"/>
      <scheme val="minor"/>
    </font>
    <font>
      <sz val="12"/>
      <color rgb="FF7030A0"/>
      <name val="Calibri"/>
      <family val="2"/>
      <scheme val="minor"/>
    </font>
    <font>
      <b/>
      <sz val="12"/>
      <name val="Calibri"/>
      <family val="2"/>
      <scheme val="minor"/>
    </font>
    <font>
      <sz val="12"/>
      <name val="Calibri"/>
      <family val="2"/>
      <scheme val="minor"/>
    </font>
    <font>
      <sz val="12"/>
      <color rgb="FFC00000"/>
      <name val="Calibri"/>
      <family val="2"/>
      <scheme val="minor"/>
    </font>
    <font>
      <b/>
      <sz val="12"/>
      <color rgb="FFC00000"/>
      <name val="Calibri"/>
      <family val="2"/>
      <scheme val="minor"/>
    </font>
    <font>
      <b/>
      <sz val="12"/>
      <color rgb="FF00B050"/>
      <name val="Calibri"/>
      <family val="2"/>
      <scheme val="minor"/>
    </font>
    <font>
      <sz val="12"/>
      <color rgb="FF0070C0"/>
      <name val="Calibri"/>
      <family val="2"/>
      <scheme val="minor"/>
    </font>
    <font>
      <b/>
      <sz val="12"/>
      <color rgb="FF0070C0"/>
      <name val="Calibri"/>
      <family val="2"/>
      <scheme val="minor"/>
    </font>
    <font>
      <sz val="12"/>
      <color rgb="FF00B050"/>
      <name val="Calibri"/>
      <family val="2"/>
      <scheme val="minor"/>
    </font>
    <font>
      <b/>
      <sz val="12"/>
      <color theme="8"/>
      <name val="Calibri"/>
      <family val="2"/>
      <scheme val="minor"/>
    </font>
    <font>
      <b/>
      <sz val="12"/>
      <color theme="4"/>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79">
    <xf numFmtId="0" fontId="0" fillId="0" borderId="0" xfId="0"/>
    <xf numFmtId="0" fontId="0" fillId="0" borderId="1" xfId="0" applyBorder="1"/>
    <xf numFmtId="0" fontId="2" fillId="0" borderId="0" xfId="0" applyFont="1"/>
    <xf numFmtId="0" fontId="0" fillId="2" borderId="0" xfId="0" applyFill="1" applyAlignment="1">
      <alignment wrapText="1"/>
    </xf>
    <xf numFmtId="0" fontId="0" fillId="0" borderId="0" xfId="0" applyAlignment="1">
      <alignment wrapText="1"/>
    </xf>
    <xf numFmtId="0" fontId="0" fillId="0" borderId="0" xfId="0" applyAlignment="1">
      <alignment vertical="center"/>
    </xf>
    <xf numFmtId="0" fontId="0" fillId="0" borderId="2" xfId="0" applyBorder="1" applyAlignment="1">
      <alignment horizontal="left" vertical="center" wrapText="1"/>
    </xf>
    <xf numFmtId="0" fontId="0" fillId="0" borderId="1" xfId="0" applyBorder="1" applyAlignment="1">
      <alignment wrapText="1"/>
    </xf>
    <xf numFmtId="0" fontId="0" fillId="0" borderId="0" xfId="0" applyAlignment="1">
      <alignment horizontal="left" vertical="center" wrapText="1"/>
    </xf>
    <xf numFmtId="0" fontId="13" fillId="0" borderId="0" xfId="0" applyFont="1" applyAlignment="1">
      <alignment wrapText="1"/>
    </xf>
    <xf numFmtId="44" fontId="0" fillId="0" borderId="0" xfId="1" applyFont="1" applyAlignment="1">
      <alignment vertical="center" wrapText="1"/>
    </xf>
    <xf numFmtId="0" fontId="0" fillId="0" borderId="0" xfId="0" applyAlignment="1">
      <alignment horizontal="left"/>
    </xf>
    <xf numFmtId="0" fontId="2"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5" xfId="0" applyBorder="1" applyAlignment="1">
      <alignment horizontal="center" vertical="center" wrapText="1"/>
    </xf>
    <xf numFmtId="1" fontId="0" fillId="2" borderId="6" xfId="0" applyNumberFormat="1" applyFill="1" applyBorder="1" applyAlignment="1">
      <alignment vertical="center"/>
    </xf>
    <xf numFmtId="164" fontId="0" fillId="0" borderId="6" xfId="0" applyNumberFormat="1" applyBorder="1" applyAlignment="1">
      <alignment horizontal="right" vertical="center" wrapText="1"/>
    </xf>
    <xf numFmtId="9" fontId="0" fillId="2" borderId="6" xfId="2" applyFont="1" applyFill="1" applyBorder="1" applyAlignment="1">
      <alignment vertical="center"/>
    </xf>
    <xf numFmtId="164" fontId="0" fillId="0" borderId="6" xfId="2" applyNumberFormat="1" applyFont="1" applyBorder="1" applyAlignment="1">
      <alignment vertical="center"/>
    </xf>
    <xf numFmtId="0" fontId="0" fillId="2" borderId="6" xfId="0" applyFill="1" applyBorder="1" applyAlignment="1">
      <alignment vertical="center"/>
    </xf>
    <xf numFmtId="1" fontId="2" fillId="0" borderId="6" xfId="0" applyNumberFormat="1" applyFont="1" applyBorder="1" applyAlignment="1">
      <alignment vertical="center"/>
    </xf>
    <xf numFmtId="0" fontId="0" fillId="0" borderId="6" xfId="0" applyBorder="1" applyAlignment="1">
      <alignment vertical="center"/>
    </xf>
    <xf numFmtId="165" fontId="2" fillId="2" borderId="6" xfId="1" applyNumberFormat="1" applyFont="1" applyFill="1" applyBorder="1" applyAlignment="1">
      <alignment vertical="center"/>
    </xf>
    <xf numFmtId="165" fontId="0" fillId="0" borderId="6" xfId="1" applyNumberFormat="1" applyFont="1" applyFill="1" applyBorder="1" applyAlignment="1">
      <alignment vertical="center"/>
    </xf>
    <xf numFmtId="165" fontId="0" fillId="0" borderId="6" xfId="0" applyNumberFormat="1" applyBorder="1" applyAlignment="1">
      <alignment vertical="center"/>
    </xf>
    <xf numFmtId="44" fontId="0" fillId="0" borderId="7" xfId="1" applyFont="1" applyFill="1" applyBorder="1" applyAlignment="1">
      <alignment vertical="center"/>
    </xf>
    <xf numFmtId="165" fontId="0" fillId="0" borderId="8" xfId="0" applyNumberFormat="1" applyBorder="1" applyAlignment="1">
      <alignment vertical="center"/>
    </xf>
    <xf numFmtId="165" fontId="0" fillId="0" borderId="7" xfId="0" applyNumberFormat="1" applyBorder="1" applyAlignment="1">
      <alignment vertical="center"/>
    </xf>
    <xf numFmtId="165" fontId="11" fillId="0" borderId="6" xfId="0" applyNumberFormat="1" applyFont="1" applyBorder="1" applyAlignment="1">
      <alignment horizontal="left" vertical="center"/>
    </xf>
    <xf numFmtId="166" fontId="11" fillId="0" borderId="9" xfId="2" applyNumberFormat="1" applyFont="1" applyFill="1" applyBorder="1" applyAlignment="1">
      <alignment vertical="center"/>
    </xf>
    <xf numFmtId="0" fontId="3" fillId="0" borderId="0" xfId="3" applyBorder="1" applyAlignment="1">
      <alignment vertical="center" wrapText="1"/>
    </xf>
    <xf numFmtId="0" fontId="7" fillId="0" borderId="0" xfId="3" applyFont="1" applyBorder="1" applyAlignment="1">
      <alignment vertical="center" wrapText="1"/>
    </xf>
    <xf numFmtId="0" fontId="0" fillId="0" borderId="0" xfId="0" applyAlignment="1">
      <alignment vertical="center" wrapText="1"/>
    </xf>
    <xf numFmtId="0" fontId="2" fillId="0" borderId="6" xfId="0" applyFont="1" applyBorder="1" applyAlignment="1">
      <alignment vertical="center" wrapText="1"/>
    </xf>
    <xf numFmtId="44" fontId="0" fillId="0" borderId="0" xfId="0" applyNumberFormat="1" applyAlignment="1">
      <alignment vertical="center" wrapText="1"/>
    </xf>
    <xf numFmtId="44" fontId="0" fillId="0" borderId="0" xfId="0" applyNumberFormat="1" applyAlignment="1">
      <alignment vertical="center"/>
    </xf>
    <xf numFmtId="44" fontId="0" fillId="0" borderId="0" xfId="1" applyFont="1"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44" fontId="0" fillId="0" borderId="3" xfId="1" applyFont="1" applyBorder="1" applyAlignment="1">
      <alignment vertical="center" wrapText="1"/>
    </xf>
    <xf numFmtId="44" fontId="0" fillId="0" borderId="1" xfId="1" applyFont="1" applyBorder="1" applyAlignment="1">
      <alignment vertical="center" wrapText="1"/>
    </xf>
    <xf numFmtId="0" fontId="11" fillId="0" borderId="6" xfId="0" applyFont="1" applyBorder="1" applyAlignment="1">
      <alignment vertical="center" wrapText="1"/>
    </xf>
    <xf numFmtId="0" fontId="11" fillId="0" borderId="9" xfId="0" applyFont="1" applyBorder="1" applyAlignment="1">
      <alignment vertical="center" wrapText="1"/>
    </xf>
    <xf numFmtId="0" fontId="13" fillId="0" borderId="6" xfId="0" applyFont="1" applyBorder="1" applyAlignment="1">
      <alignment vertical="center" wrapText="1"/>
    </xf>
    <xf numFmtId="165" fontId="13" fillId="0" borderId="6" xfId="0" applyNumberFormat="1" applyFont="1" applyBorder="1" applyAlignment="1">
      <alignment vertical="center"/>
    </xf>
    <xf numFmtId="0" fontId="4" fillId="0" borderId="6" xfId="0" applyFont="1" applyBorder="1" applyAlignment="1">
      <alignment vertical="center" wrapText="1"/>
    </xf>
    <xf numFmtId="9" fontId="2" fillId="0" borderId="6" xfId="2" applyFont="1" applyBorder="1" applyAlignment="1">
      <alignment vertical="center"/>
    </xf>
    <xf numFmtId="44" fontId="5" fillId="0" borderId="0" xfId="1" applyFont="1" applyAlignment="1">
      <alignment vertical="center" wrapText="1"/>
    </xf>
    <xf numFmtId="0" fontId="14" fillId="0" borderId="7" xfId="0" applyFont="1" applyBorder="1" applyAlignment="1">
      <alignment vertical="center"/>
    </xf>
    <xf numFmtId="3" fontId="0" fillId="0" borderId="6" xfId="0" applyNumberFormat="1" applyBorder="1" applyAlignment="1">
      <alignment vertical="center"/>
    </xf>
    <xf numFmtId="44" fontId="11" fillId="0" borderId="6" xfId="1" applyFont="1" applyBorder="1" applyAlignment="1">
      <alignment vertical="center"/>
    </xf>
    <xf numFmtId="44" fontId="11" fillId="0" borderId="9" xfId="1" applyFont="1" applyBorder="1" applyAlignment="1">
      <alignment vertical="center"/>
    </xf>
    <xf numFmtId="0" fontId="0" fillId="0" borderId="2" xfId="0" applyBorder="1" applyAlignment="1">
      <alignment vertical="center" wrapText="1"/>
    </xf>
    <xf numFmtId="0" fontId="13" fillId="0" borderId="10" xfId="0" applyFont="1" applyBorder="1" applyAlignment="1">
      <alignment vertical="center" wrapText="1"/>
    </xf>
    <xf numFmtId="44" fontId="13" fillId="0" borderId="10" xfId="1" applyFont="1" applyBorder="1" applyAlignment="1">
      <alignment vertical="center"/>
    </xf>
    <xf numFmtId="0" fontId="0" fillId="0" borderId="4" xfId="0" applyBorder="1" applyAlignment="1">
      <alignment vertical="center" wrapText="1"/>
    </xf>
    <xf numFmtId="0" fontId="13" fillId="0" borderId="7" xfId="0" applyFont="1" applyBorder="1" applyAlignment="1">
      <alignment vertical="center" wrapText="1"/>
    </xf>
    <xf numFmtId="44" fontId="13" fillId="0" borderId="7" xfId="1" applyFont="1" applyBorder="1" applyAlignment="1">
      <alignment vertical="center"/>
    </xf>
    <xf numFmtId="0" fontId="9" fillId="0" borderId="7" xfId="0" applyFont="1" applyBorder="1" applyAlignment="1">
      <alignment vertical="center" wrapText="1"/>
    </xf>
    <xf numFmtId="0" fontId="0" fillId="0" borderId="7" xfId="0" applyBorder="1" applyAlignment="1">
      <alignment vertical="center"/>
    </xf>
    <xf numFmtId="0" fontId="12" fillId="0" borderId="6" xfId="0" applyFont="1" applyBorder="1" applyAlignment="1">
      <alignment vertical="center" wrapText="1"/>
    </xf>
    <xf numFmtId="165" fontId="12" fillId="0" borderId="6" xfId="0" applyNumberFormat="1" applyFont="1" applyBorder="1" applyAlignment="1">
      <alignment horizontal="left" vertical="center"/>
    </xf>
    <xf numFmtId="0" fontId="10" fillId="0" borderId="6" xfId="0" applyFont="1" applyBorder="1" applyAlignment="1">
      <alignment vertical="center" wrapText="1"/>
    </xf>
    <xf numFmtId="165" fontId="10" fillId="0" borderId="6" xfId="0" applyNumberFormat="1" applyFont="1" applyBorder="1" applyAlignment="1">
      <alignment horizontal="left" vertical="center"/>
    </xf>
    <xf numFmtId="0" fontId="6" fillId="0" borderId="7" xfId="0" applyFont="1" applyBorder="1" applyAlignment="1">
      <alignment vertical="center" wrapText="1"/>
    </xf>
    <xf numFmtId="44" fontId="9" fillId="0" borderId="0" xfId="1" applyFont="1" applyAlignment="1">
      <alignment vertical="center" wrapText="1"/>
    </xf>
    <xf numFmtId="0" fontId="8" fillId="0" borderId="6" xfId="0" applyFont="1" applyBorder="1" applyAlignment="1">
      <alignment vertical="center" wrapText="1"/>
    </xf>
    <xf numFmtId="167" fontId="8" fillId="2" borderId="6" xfId="1" applyNumberFormat="1" applyFont="1" applyFill="1" applyBorder="1" applyAlignment="1">
      <alignment vertical="center"/>
    </xf>
    <xf numFmtId="44" fontId="8" fillId="0" borderId="6" xfId="0" applyNumberFormat="1" applyFont="1" applyBorder="1" applyAlignment="1">
      <alignment vertical="center"/>
    </xf>
    <xf numFmtId="0" fontId="9" fillId="3" borderId="7" xfId="0" applyFont="1" applyFill="1" applyBorder="1" applyAlignment="1">
      <alignment vertical="center" wrapText="1"/>
    </xf>
    <xf numFmtId="165" fontId="9" fillId="3" borderId="7" xfId="0" applyNumberFormat="1" applyFont="1" applyFill="1" applyBorder="1" applyAlignment="1">
      <alignment vertical="center"/>
    </xf>
    <xf numFmtId="0" fontId="6" fillId="0" borderId="0" xfId="0" applyFont="1" applyAlignment="1">
      <alignment horizontal="left" vertical="center" wrapText="1"/>
    </xf>
    <xf numFmtId="0" fontId="0" fillId="0" borderId="0" xfId="0" applyAlignment="1">
      <alignment horizontal="left" vertical="center" wrapText="1"/>
    </xf>
    <xf numFmtId="44" fontId="15" fillId="0" borderId="2" xfId="1" applyFont="1" applyBorder="1" applyAlignment="1">
      <alignment vertical="center" wrapText="1"/>
    </xf>
    <xf numFmtId="0" fontId="13" fillId="0" borderId="9" xfId="0" applyFont="1" applyFill="1" applyBorder="1" applyAlignment="1">
      <alignment vertical="center" wrapText="1"/>
    </xf>
    <xf numFmtId="166" fontId="13" fillId="0" borderId="9" xfId="2" applyNumberFormat="1" applyFont="1" applyFill="1" applyBorder="1" applyAlignment="1">
      <alignment vertical="center"/>
    </xf>
    <xf numFmtId="44" fontId="13" fillId="0" borderId="2" xfId="1" applyFont="1" applyFill="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urworldindata.org/grapher/population-density-by-city?tab=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BB985-9D87-9547-AE0A-19022F514777}">
  <sheetPr>
    <pageSetUpPr fitToPage="1"/>
  </sheetPr>
  <dimension ref="A1:D50"/>
  <sheetViews>
    <sheetView tabSelected="1" topLeftCell="A12" zoomScale="79" zoomScaleNormal="79" workbookViewId="0">
      <selection activeCell="A50" sqref="A50"/>
    </sheetView>
  </sheetViews>
  <sheetFormatPr baseColWidth="10" defaultRowHeight="16" x14ac:dyDescent="0.2"/>
  <cols>
    <col min="1" max="1" width="94.33203125" customWidth="1"/>
    <col min="2" max="2" width="27.83203125" customWidth="1"/>
    <col min="3" max="3" width="63.33203125" style="4" customWidth="1"/>
    <col min="4" max="4" width="13" bestFit="1" customWidth="1"/>
  </cols>
  <sheetData>
    <row r="1" spans="1:3" x14ac:dyDescent="0.2">
      <c r="A1" s="2" t="s">
        <v>3</v>
      </c>
    </row>
    <row r="2" spans="1:3" x14ac:dyDescent="0.2">
      <c r="A2" t="s">
        <v>4</v>
      </c>
    </row>
    <row r="3" spans="1:3" ht="14" customHeight="1" x14ac:dyDescent="0.2"/>
    <row r="4" spans="1:3" ht="17" customHeight="1" x14ac:dyDescent="0.2">
      <c r="A4" s="73" t="s">
        <v>52</v>
      </c>
      <c r="B4" s="73"/>
      <c r="C4" s="73"/>
    </row>
    <row r="5" spans="1:3" s="11" customFormat="1" ht="32" customHeight="1" x14ac:dyDescent="0.2">
      <c r="A5" s="74" t="s">
        <v>60</v>
      </c>
      <c r="B5" s="74"/>
      <c r="C5" s="74"/>
    </row>
    <row r="7" spans="1:3" ht="17" x14ac:dyDescent="0.2">
      <c r="A7" s="3" t="s">
        <v>9</v>
      </c>
    </row>
    <row r="8" spans="1:3" ht="17" thickBot="1" x14ac:dyDescent="0.25">
      <c r="A8" s="7"/>
      <c r="B8" s="1"/>
      <c r="C8" s="7"/>
    </row>
    <row r="9" spans="1:3" ht="17" x14ac:dyDescent="0.2">
      <c r="A9" s="12" t="s">
        <v>28</v>
      </c>
      <c r="B9" s="15" t="s">
        <v>29</v>
      </c>
      <c r="C9" s="6" t="s">
        <v>10</v>
      </c>
    </row>
    <row r="10" spans="1:3" s="5" customFormat="1" ht="34" x14ac:dyDescent="0.2">
      <c r="A10" s="13" t="s">
        <v>27</v>
      </c>
      <c r="B10" s="16">
        <v>1355000</v>
      </c>
      <c r="C10" s="8" t="s">
        <v>32</v>
      </c>
    </row>
    <row r="11" spans="1:3" s="5" customFormat="1" ht="17" x14ac:dyDescent="0.2">
      <c r="A11" s="14" t="s">
        <v>39</v>
      </c>
      <c r="B11" s="17">
        <f>B10/1600</f>
        <v>846.875</v>
      </c>
      <c r="C11" s="31" t="s">
        <v>0</v>
      </c>
    </row>
    <row r="12" spans="1:3" s="5" customFormat="1" ht="17" x14ac:dyDescent="0.2">
      <c r="A12" s="14" t="s">
        <v>43</v>
      </c>
      <c r="B12" s="18">
        <v>0.1</v>
      </c>
      <c r="C12" s="32"/>
    </row>
    <row r="13" spans="1:3" s="5" customFormat="1" ht="34" x14ac:dyDescent="0.2">
      <c r="A13" s="14" t="s">
        <v>53</v>
      </c>
      <c r="B13" s="19">
        <f>B11*B12</f>
        <v>84.6875</v>
      </c>
      <c r="C13" s="32" t="s">
        <v>30</v>
      </c>
    </row>
    <row r="14" spans="1:3" s="5" customFormat="1" ht="17" x14ac:dyDescent="0.2">
      <c r="A14" s="14" t="s">
        <v>25</v>
      </c>
      <c r="B14" s="20">
        <v>1.6</v>
      </c>
      <c r="C14" s="33" t="s">
        <v>33</v>
      </c>
    </row>
    <row r="15" spans="1:3" s="5" customFormat="1" ht="17" x14ac:dyDescent="0.2">
      <c r="A15" s="14" t="s">
        <v>24</v>
      </c>
      <c r="B15" s="20">
        <v>0.6</v>
      </c>
      <c r="C15" s="33" t="s">
        <v>34</v>
      </c>
    </row>
    <row r="16" spans="1:3" s="5" customFormat="1" ht="17" x14ac:dyDescent="0.2">
      <c r="A16" s="14" t="s">
        <v>26</v>
      </c>
      <c r="B16" s="18">
        <v>0.2</v>
      </c>
      <c r="C16" s="33" t="s">
        <v>35</v>
      </c>
    </row>
    <row r="17" spans="1:4" s="5" customFormat="1" ht="51" x14ac:dyDescent="0.2">
      <c r="A17" s="34" t="s">
        <v>2</v>
      </c>
      <c r="B17" s="21">
        <f>ROUNDUP((B11-B13)/((3.14*B14^2)*(1-B16))+(B13)/((3.14*B15^2)*(1-B16)),1)</f>
        <v>212.2</v>
      </c>
      <c r="C17" s="33" t="s">
        <v>36</v>
      </c>
    </row>
    <row r="18" spans="1:4" s="5" customFormat="1" x14ac:dyDescent="0.2">
      <c r="A18" s="14"/>
      <c r="B18" s="22"/>
      <c r="C18" s="33"/>
    </row>
    <row r="19" spans="1:4" s="5" customFormat="1" ht="34" x14ac:dyDescent="0.2">
      <c r="A19" s="34" t="s">
        <v>51</v>
      </c>
      <c r="B19" s="23">
        <v>1100</v>
      </c>
      <c r="C19" s="35" t="s">
        <v>31</v>
      </c>
    </row>
    <row r="20" spans="1:4" s="5" customFormat="1" ht="16" customHeight="1" x14ac:dyDescent="0.2">
      <c r="A20" s="14" t="s">
        <v>11</v>
      </c>
      <c r="B20" s="24">
        <f>SUM(65,0,0,0,0,30,60)</f>
        <v>155</v>
      </c>
      <c r="C20" s="35" t="s">
        <v>44</v>
      </c>
    </row>
    <row r="21" spans="1:4" s="5" customFormat="1" ht="34" x14ac:dyDescent="0.2">
      <c r="A21" s="14" t="s">
        <v>1</v>
      </c>
      <c r="B21" s="24">
        <f>8*60</f>
        <v>480</v>
      </c>
      <c r="C21" s="10" t="s">
        <v>45</v>
      </c>
    </row>
    <row r="22" spans="1:4" s="5" customFormat="1" ht="18" customHeight="1" x14ac:dyDescent="0.2">
      <c r="A22" s="14" t="s">
        <v>12</v>
      </c>
      <c r="B22" s="24">
        <f>8*120</f>
        <v>960</v>
      </c>
      <c r="C22" s="10" t="s">
        <v>37</v>
      </c>
      <c r="D22" s="36"/>
    </row>
    <row r="23" spans="1:4" s="5" customFormat="1" ht="18" customHeight="1" x14ac:dyDescent="0.2">
      <c r="A23" s="14" t="s">
        <v>13</v>
      </c>
      <c r="B23" s="24">
        <v>2800</v>
      </c>
      <c r="C23" s="10"/>
    </row>
    <row r="24" spans="1:4" s="5" customFormat="1" ht="18" customHeight="1" x14ac:dyDescent="0.2">
      <c r="A24" s="14"/>
      <c r="B24" s="24"/>
      <c r="C24" s="10"/>
    </row>
    <row r="25" spans="1:4" s="5" customFormat="1" ht="34" x14ac:dyDescent="0.2">
      <c r="A25" s="14" t="s">
        <v>18</v>
      </c>
      <c r="B25" s="24">
        <f>12*450</f>
        <v>5400</v>
      </c>
      <c r="C25" s="10" t="s">
        <v>38</v>
      </c>
    </row>
    <row r="26" spans="1:4" s="5" customFormat="1" ht="18" customHeight="1" x14ac:dyDescent="0.2">
      <c r="A26" s="14" t="s">
        <v>19</v>
      </c>
      <c r="B26" s="24">
        <f>(B19*0.08)+(12*60)</f>
        <v>808</v>
      </c>
      <c r="C26" s="10"/>
    </row>
    <row r="27" spans="1:4" s="5" customFormat="1" ht="17" x14ac:dyDescent="0.2">
      <c r="A27" s="14" t="s">
        <v>46</v>
      </c>
      <c r="B27" s="25">
        <f>12*20</f>
        <v>240</v>
      </c>
      <c r="C27" s="37"/>
    </row>
    <row r="28" spans="1:4" s="5" customFormat="1" ht="18" thickBot="1" x14ac:dyDescent="0.25">
      <c r="A28" s="38" t="s">
        <v>16</v>
      </c>
      <c r="B28" s="26">
        <f>15*12*31*24*0.5/1000</f>
        <v>66.959999999999994</v>
      </c>
      <c r="C28" s="39"/>
    </row>
    <row r="29" spans="1:4" s="5" customFormat="1" ht="17" x14ac:dyDescent="0.2">
      <c r="A29" s="40" t="s">
        <v>40</v>
      </c>
      <c r="B29" s="27">
        <f>B17*SUM(B19:B23, B25:B28)</f>
        <v>2548513.5119999996</v>
      </c>
      <c r="C29" s="41" t="s">
        <v>8</v>
      </c>
    </row>
    <row r="30" spans="1:4" s="5" customFormat="1" ht="18" thickBot="1" x14ac:dyDescent="0.25">
      <c r="A30" s="38" t="s">
        <v>17</v>
      </c>
      <c r="B30" s="28">
        <f>B17*SUM(B25:B28)</f>
        <v>1382474.5119999999</v>
      </c>
      <c r="C30" s="42" t="s">
        <v>7</v>
      </c>
    </row>
    <row r="31" spans="1:4" s="5" customFormat="1" ht="17" x14ac:dyDescent="0.2">
      <c r="A31" s="43" t="s">
        <v>5</v>
      </c>
      <c r="B31" s="29">
        <f>(B29+B30*4)</f>
        <v>8078411.5599999987</v>
      </c>
      <c r="C31" s="10" t="s">
        <v>7</v>
      </c>
    </row>
    <row r="32" spans="1:4" s="5" customFormat="1" ht="17" x14ac:dyDescent="0.2">
      <c r="A32" s="62" t="s">
        <v>47</v>
      </c>
      <c r="B32" s="63">
        <f>B31/5</f>
        <v>1615682.3119999997</v>
      </c>
      <c r="C32" s="67" t="s">
        <v>54</v>
      </c>
    </row>
    <row r="33" spans="1:3" s="5" customFormat="1" ht="68" x14ac:dyDescent="0.2">
      <c r="A33" s="44" t="s">
        <v>20</v>
      </c>
      <c r="B33" s="30">
        <f>(B17*SUM(B19:B20))/B31</f>
        <v>3.2965762888168583E-2</v>
      </c>
      <c r="C33" s="75" t="s">
        <v>57</v>
      </c>
    </row>
    <row r="34" spans="1:3" s="5" customFormat="1" ht="17" x14ac:dyDescent="0.2">
      <c r="A34" s="45" t="s">
        <v>6</v>
      </c>
      <c r="B34" s="46">
        <f>B29+B30*9</f>
        <v>14990784.119999999</v>
      </c>
      <c r="C34" s="10" t="s">
        <v>7</v>
      </c>
    </row>
    <row r="35" spans="1:3" s="5" customFormat="1" ht="17" x14ac:dyDescent="0.2">
      <c r="A35" s="64" t="s">
        <v>48</v>
      </c>
      <c r="B35" s="65">
        <f>B34/10</f>
        <v>1499078.412</v>
      </c>
      <c r="C35" s="67" t="s">
        <v>54</v>
      </c>
    </row>
    <row r="36" spans="1:3" s="5" customFormat="1" ht="68" x14ac:dyDescent="0.2">
      <c r="A36" s="76" t="s">
        <v>21</v>
      </c>
      <c r="B36" s="77">
        <f>B17*SUM(B19:B20)/(B29+B30*9)</f>
        <v>1.7764981329075401E-2</v>
      </c>
      <c r="C36" s="78" t="s">
        <v>58</v>
      </c>
    </row>
    <row r="37" spans="1:3" s="5" customFormat="1" x14ac:dyDescent="0.2">
      <c r="A37" s="47"/>
      <c r="B37" s="48"/>
      <c r="C37" s="49"/>
    </row>
    <row r="38" spans="1:3" s="5" customFormat="1" ht="18" thickBot="1" x14ac:dyDescent="0.25">
      <c r="A38" s="66" t="s">
        <v>41</v>
      </c>
      <c r="B38" s="50"/>
      <c r="C38" s="39"/>
    </row>
    <row r="39" spans="1:3" s="5" customFormat="1" ht="34" x14ac:dyDescent="0.2">
      <c r="A39" s="14" t="s">
        <v>42</v>
      </c>
      <c r="B39" s="51">
        <f>B10/2.7</f>
        <v>501851.8518518518</v>
      </c>
      <c r="C39" s="33" t="s">
        <v>56</v>
      </c>
    </row>
    <row r="40" spans="1:3" s="5" customFormat="1" ht="17" x14ac:dyDescent="0.2">
      <c r="A40" s="43" t="s">
        <v>14</v>
      </c>
      <c r="B40" s="52">
        <f>(B31/5)/B39</f>
        <v>3.2194407692988927</v>
      </c>
      <c r="C40" s="33"/>
    </row>
    <row r="41" spans="1:3" s="5" customFormat="1" ht="17" x14ac:dyDescent="0.2">
      <c r="A41" s="44" t="s">
        <v>22</v>
      </c>
      <c r="B41" s="53">
        <f>B40/12</f>
        <v>0.26828673077490772</v>
      </c>
      <c r="C41" s="54"/>
    </row>
    <row r="42" spans="1:3" s="5" customFormat="1" ht="17" x14ac:dyDescent="0.2">
      <c r="A42" s="55" t="s">
        <v>15</v>
      </c>
      <c r="B42" s="56">
        <f>(B34/10)/B39</f>
        <v>2.9870935146863471</v>
      </c>
      <c r="C42" s="57"/>
    </row>
    <row r="43" spans="1:3" s="5" customFormat="1" ht="18" thickBot="1" x14ac:dyDescent="0.25">
      <c r="A43" s="58" t="s">
        <v>23</v>
      </c>
      <c r="B43" s="59">
        <f>B42/12</f>
        <v>0.24892445955719558</v>
      </c>
      <c r="C43" s="39"/>
    </row>
    <row r="44" spans="1:3" s="5" customFormat="1" x14ac:dyDescent="0.2">
      <c r="A44" s="22"/>
      <c r="B44" s="22"/>
      <c r="C44" s="33"/>
    </row>
    <row r="45" spans="1:3" s="5" customFormat="1" ht="18" thickBot="1" x14ac:dyDescent="0.25">
      <c r="A45" s="60" t="s">
        <v>49</v>
      </c>
      <c r="B45" s="61"/>
      <c r="C45" s="39"/>
    </row>
    <row r="46" spans="1:3" s="5" customFormat="1" ht="17" x14ac:dyDescent="0.2">
      <c r="A46" s="14" t="s">
        <v>42</v>
      </c>
      <c r="B46" s="51">
        <f>B39</f>
        <v>501851.8518518518</v>
      </c>
      <c r="C46" s="33"/>
    </row>
    <row r="47" spans="1:3" s="5" customFormat="1" ht="17" x14ac:dyDescent="0.2">
      <c r="A47" s="68" t="s">
        <v>59</v>
      </c>
      <c r="B47" s="69">
        <v>12</v>
      </c>
      <c r="C47" s="33"/>
    </row>
    <row r="48" spans="1:3" s="5" customFormat="1" ht="17" x14ac:dyDescent="0.2">
      <c r="A48" s="68" t="s">
        <v>50</v>
      </c>
      <c r="B48" s="70">
        <f>B47/12</f>
        <v>1</v>
      </c>
      <c r="C48" s="33" t="s">
        <v>55</v>
      </c>
    </row>
    <row r="49" spans="1:3" s="5" customFormat="1" ht="18" thickBot="1" x14ac:dyDescent="0.25">
      <c r="A49" s="71" t="s">
        <v>61</v>
      </c>
      <c r="B49" s="72">
        <f>B46*B47</f>
        <v>6022222.222222222</v>
      </c>
      <c r="C49" s="39"/>
    </row>
    <row r="50" spans="1:3" x14ac:dyDescent="0.2">
      <c r="A50" s="9"/>
    </row>
  </sheetData>
  <mergeCells count="2">
    <mergeCell ref="A4:C4"/>
    <mergeCell ref="A5:C5"/>
  </mergeCells>
  <hyperlinks>
    <hyperlink ref="C11" r:id="rId1" xr:uid="{7B91933B-5B97-7E4D-AEA7-0088AD841EE6}"/>
  </hyperlinks>
  <pageMargins left="0.7" right="0.7" top="0.75" bottom="0.75" header="0.3" footer="0.3"/>
  <pageSetup scale="62" fitToHeight="2" orientation="landscape" horizontalDpi="0" verticalDpi="0"/>
  <ignoredErrors>
    <ignoredError sqref="B42"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Utilities Private Network</vt:lpstr>
      <vt:lpstr>'Utilities Private Network'!Print_Area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2023-08-30T18:47:27Z</cp:lastPrinted>
  <dcterms:created xsi:type="dcterms:W3CDTF">2022-12-02T03:45:16Z</dcterms:created>
  <dcterms:modified xsi:type="dcterms:W3CDTF">2023-08-30T18:47:29Z</dcterms:modified>
</cp:coreProperties>
</file>